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tt\Diocease of EM\Convention\2018\"/>
    </mc:Choice>
  </mc:AlternateContent>
  <bookViews>
    <workbookView xWindow="0" yWindow="0" windowWidth="19200" windowHeight="11535"/>
  </bookViews>
  <sheets>
    <sheet name="Report" sheetId="1" r:id="rId1"/>
    <sheet name="Graph 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G85" i="1"/>
  <c r="H85" i="1"/>
  <c r="I85" i="1"/>
  <c r="J85" i="1"/>
  <c r="K85" i="1"/>
  <c r="E85" i="1"/>
  <c r="F84" i="1"/>
  <c r="G84" i="1"/>
  <c r="H84" i="1"/>
  <c r="I84" i="1"/>
  <c r="J84" i="1"/>
  <c r="K84" i="1"/>
  <c r="E84" i="1"/>
  <c r="K67" i="1" l="1"/>
  <c r="K77" i="1" s="1"/>
  <c r="J67" i="1"/>
  <c r="J77" i="1" s="1"/>
  <c r="I67" i="1"/>
  <c r="I77" i="1" s="1"/>
  <c r="K39" i="2" l="1"/>
  <c r="J39" i="2"/>
  <c r="I39" i="2"/>
  <c r="H39" i="2"/>
  <c r="G39" i="2"/>
  <c r="F39" i="2"/>
  <c r="E39" i="2"/>
  <c r="G67" i="1"/>
  <c r="G77" i="1" s="1"/>
  <c r="E74" i="1" l="1"/>
  <c r="E42" i="1"/>
  <c r="F74" i="1"/>
  <c r="F77" i="1" s="1"/>
  <c r="F41" i="1"/>
  <c r="F18" i="2"/>
  <c r="E18" i="2"/>
  <c r="D18" i="2"/>
  <c r="C18" i="2"/>
  <c r="B18" i="2"/>
  <c r="G13" i="2"/>
  <c r="G14" i="2" s="1"/>
  <c r="F13" i="2"/>
  <c r="E13" i="2"/>
  <c r="C13" i="2"/>
  <c r="B13" i="2"/>
  <c r="B19" i="2" s="1"/>
  <c r="B7" i="2"/>
  <c r="C6" i="2"/>
  <c r="D6" i="2" s="1"/>
  <c r="G5" i="2"/>
  <c r="F5" i="2"/>
  <c r="E5" i="2"/>
  <c r="D5" i="2"/>
  <c r="D8" i="2" s="1"/>
  <c r="C5" i="2"/>
  <c r="C8" i="2" s="1"/>
  <c r="B5" i="2"/>
  <c r="B8" i="2" s="1"/>
  <c r="C14" i="2" l="1"/>
  <c r="E14" i="2"/>
  <c r="F14" i="2"/>
  <c r="F6" i="2"/>
  <c r="F8" i="2" s="1"/>
  <c r="E6" i="2"/>
  <c r="G6" i="2" s="1"/>
  <c r="G8" i="2" s="1"/>
  <c r="E8" i="2" l="1"/>
  <c r="K41" i="1"/>
  <c r="J41" i="1"/>
  <c r="I41" i="1"/>
  <c r="F63" i="1" l="1"/>
  <c r="F62" i="1"/>
  <c r="F53" i="1"/>
  <c r="F44" i="1"/>
  <c r="H76" i="1"/>
  <c r="H75" i="1"/>
  <c r="G4" i="2"/>
  <c r="F4" i="2"/>
  <c r="H65" i="1"/>
  <c r="H77" i="1" s="1"/>
  <c r="J63" i="1"/>
  <c r="I63" i="1"/>
  <c r="H63" i="1"/>
  <c r="J62" i="1"/>
  <c r="I62" i="1"/>
  <c r="H62" i="1"/>
  <c r="J53" i="1"/>
  <c r="I53" i="1"/>
  <c r="H53" i="1"/>
  <c r="J44" i="1"/>
  <c r="I44" i="1"/>
  <c r="H41" i="1"/>
  <c r="H44" i="1" s="1"/>
  <c r="E76" i="1"/>
  <c r="E75" i="1"/>
  <c r="E67" i="1"/>
  <c r="E65" i="1"/>
  <c r="E63" i="1"/>
  <c r="E62" i="1"/>
  <c r="E53" i="1"/>
  <c r="E41" i="1"/>
  <c r="E77" i="1" l="1"/>
  <c r="C4" i="2"/>
  <c r="F54" i="1"/>
  <c r="C3" i="2" s="1"/>
  <c r="E44" i="1"/>
  <c r="E54" i="1" s="1"/>
  <c r="J54" i="1"/>
  <c r="I54" i="1"/>
  <c r="H54" i="1"/>
  <c r="F87" i="1" l="1"/>
  <c r="F41" i="2"/>
  <c r="E3" i="2"/>
  <c r="H87" i="1"/>
  <c r="J41" i="2"/>
  <c r="G3" i="2"/>
  <c r="G9" i="2" s="1"/>
  <c r="E4" i="2"/>
  <c r="B3" i="2"/>
  <c r="I41" i="2"/>
  <c r="F3" i="2"/>
  <c r="F9" i="2" s="1"/>
  <c r="B4" i="2"/>
  <c r="C9" i="2"/>
  <c r="E87" i="1"/>
  <c r="J87" i="1"/>
  <c r="I87" i="1"/>
  <c r="B9" i="2" l="1"/>
  <c r="E9" i="2"/>
  <c r="E41" i="2"/>
  <c r="H41" i="2"/>
  <c r="H13" i="2"/>
  <c r="H14" i="2" s="1"/>
  <c r="H5" i="2" l="1"/>
  <c r="K53" i="1" l="1"/>
  <c r="H6" i="2" l="1"/>
  <c r="H8" i="2" l="1"/>
  <c r="G62" i="1" l="1"/>
  <c r="K62" i="1"/>
  <c r="G63" i="1"/>
  <c r="K63" i="1"/>
  <c r="K44" i="1" l="1"/>
  <c r="D4" i="2" l="1"/>
  <c r="H4" i="2"/>
  <c r="K54" i="1"/>
  <c r="G53" i="1"/>
  <c r="H3" i="2" l="1"/>
  <c r="H9" i="2" s="1"/>
  <c r="K87" i="1"/>
  <c r="G44" i="1"/>
  <c r="G54" i="1" s="1"/>
  <c r="D3" i="2" s="1"/>
  <c r="D9" i="2" s="1"/>
  <c r="C19" i="2" s="1"/>
  <c r="D19" i="2" s="1"/>
  <c r="E19" i="2" s="1"/>
  <c r="G87" i="1" l="1"/>
  <c r="K41" i="2"/>
  <c r="G41" i="2"/>
</calcChain>
</file>

<file path=xl/sharedStrings.xml><?xml version="1.0" encoding="utf-8"?>
<sst xmlns="http://schemas.openxmlformats.org/spreadsheetml/2006/main" count="81" uniqueCount="72">
  <si>
    <t>Diocesan Consolidated (Operating, CDRF, Loans &amp; Grants, McElroy)</t>
  </si>
  <si>
    <t>Congregational Tithe</t>
  </si>
  <si>
    <t>Episcopal Endowment</t>
  </si>
  <si>
    <t>5% Fund</t>
  </si>
  <si>
    <t>Other Unrestricted Endowment</t>
  </si>
  <si>
    <t>Other General Operating</t>
  </si>
  <si>
    <t>Investment income</t>
  </si>
  <si>
    <t>Actual</t>
  </si>
  <si>
    <t>Projection</t>
  </si>
  <si>
    <t>Budget</t>
  </si>
  <si>
    <t>Restricted</t>
  </si>
  <si>
    <t>Endowment</t>
  </si>
  <si>
    <t>G&amp;I</t>
  </si>
  <si>
    <t>Gifts</t>
  </si>
  <si>
    <t>Risk Management</t>
  </si>
  <si>
    <t>McElroy</t>
  </si>
  <si>
    <t>McElroy - Coppage Gordon</t>
  </si>
  <si>
    <t>CDRF</t>
  </si>
  <si>
    <t>General Operating Revenue</t>
  </si>
  <si>
    <t>Total General Operating Revenue</t>
  </si>
  <si>
    <t>Unrestricted Revenue</t>
  </si>
  <si>
    <t>Restricted Revenue</t>
  </si>
  <si>
    <t>Ministry of the Diocese</t>
  </si>
  <si>
    <t>Diocese Social Networking</t>
  </si>
  <si>
    <t>Office of the Bishop</t>
  </si>
  <si>
    <t>Bishop Search</t>
  </si>
  <si>
    <t>Canon to the Ordinary</t>
  </si>
  <si>
    <t>Camp Chick/Youth Director</t>
  </si>
  <si>
    <t>Diocesan Communications</t>
  </si>
  <si>
    <t>Data Base Support</t>
  </si>
  <si>
    <t>Administrative Support</t>
  </si>
  <si>
    <t>Diocesan Center Equip &amp; Services</t>
  </si>
  <si>
    <t>Other Expense</t>
  </si>
  <si>
    <t>Unrestricted Operating</t>
  </si>
  <si>
    <t>Restricted Operating</t>
  </si>
  <si>
    <t>G&amp;I Funds</t>
  </si>
  <si>
    <t>McElroy C/G</t>
  </si>
  <si>
    <t>Funding From(To) Reserves</t>
  </si>
  <si>
    <t>Computer</t>
  </si>
  <si>
    <t>Bishop Automobile</t>
  </si>
  <si>
    <t>Lambeth Conference</t>
  </si>
  <si>
    <t>General Convention</t>
  </si>
  <si>
    <t>Building</t>
  </si>
  <si>
    <t>Net Transfers From(To) Reserves</t>
  </si>
  <si>
    <t>Income (Deficit) after Net Operational Reserves</t>
  </si>
  <si>
    <t>Archdeacon</t>
  </si>
  <si>
    <t>Operating Revenue</t>
  </si>
  <si>
    <t>Tithe Income</t>
  </si>
  <si>
    <t>Budget 2019</t>
  </si>
  <si>
    <t>Budget 2018</t>
  </si>
  <si>
    <t>The Episcopal Diocese of Eastern Michigan</t>
  </si>
  <si>
    <t>Operating Reserves</t>
  </si>
  <si>
    <t>Net Operating Income</t>
  </si>
  <si>
    <t>Unrestricted</t>
  </si>
  <si>
    <t>Diocesan Center Bldg. &amp; Grounds</t>
  </si>
  <si>
    <t>Bishop Sabbatical</t>
  </si>
  <si>
    <t>% Change</t>
  </si>
  <si>
    <t>% of Income</t>
  </si>
  <si>
    <t>Parochial Income</t>
  </si>
  <si>
    <t>BNG Receipt</t>
  </si>
  <si>
    <t>Budget 2020</t>
  </si>
  <si>
    <t>L-T reserves</t>
  </si>
  <si>
    <t>Additional Operating Draws</t>
  </si>
  <si>
    <t>Total General Operating Income (Loss)</t>
  </si>
  <si>
    <t xml:space="preserve">Copier </t>
  </si>
  <si>
    <t>Budget 2021</t>
  </si>
  <si>
    <t>2018 Projection</t>
  </si>
  <si>
    <t>Unristricted Operating</t>
  </si>
  <si>
    <t>Six Year Comparative Operating Revenue and Expenses - Cash Basis</t>
  </si>
  <si>
    <t>Operating Expenses</t>
  </si>
  <si>
    <t>General Operating Expenses</t>
  </si>
  <si>
    <t>Total General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</si>
</sst>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164" fontId="0" fillId="0" borderId="3" xfId="2" applyNumberFormat="1" applyFon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165" fontId="0" fillId="0" borderId="0" xfId="0" applyNumberFormat="1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0" fillId="0" borderId="0" xfId="3" applyNumberFormat="1" applyFont="1"/>
    <xf numFmtId="165" fontId="5" fillId="0" borderId="0" xfId="1" applyNumberFormat="1" applyFont="1"/>
    <xf numFmtId="10" fontId="5" fillId="0" borderId="0" xfId="3" applyNumberFormat="1" applyFont="1"/>
    <xf numFmtId="164" fontId="2" fillId="0" borderId="0" xfId="2" applyNumberFormat="1" applyFont="1"/>
    <xf numFmtId="165" fontId="2" fillId="0" borderId="0" xfId="1" applyNumberFormat="1" applyFont="1"/>
    <xf numFmtId="165" fontId="6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165" fontId="0" fillId="2" borderId="2" xfId="1" applyNumberFormat="1" applyFont="1" applyFill="1" applyBorder="1"/>
    <xf numFmtId="0" fontId="2" fillId="3" borderId="0" xfId="0" applyFont="1" applyFill="1"/>
    <xf numFmtId="165" fontId="0" fillId="2" borderId="0" xfId="1" applyNumberFormat="1" applyFont="1" applyFill="1"/>
    <xf numFmtId="0" fontId="0" fillId="3" borderId="0" xfId="0" applyFill="1"/>
    <xf numFmtId="165" fontId="2" fillId="3" borderId="4" xfId="0" applyNumberFormat="1" applyFont="1" applyFill="1" applyBorder="1"/>
    <xf numFmtId="165" fontId="2" fillId="3" borderId="5" xfId="0" applyNumberFormat="1" applyFont="1" applyFill="1" applyBorder="1"/>
    <xf numFmtId="165" fontId="2" fillId="3" borderId="6" xfId="0" applyNumberFormat="1" applyFont="1" applyFill="1" applyBorder="1"/>
    <xf numFmtId="165" fontId="2" fillId="3" borderId="7" xfId="1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/>
              <a:t>Operating</a:t>
            </a:r>
            <a:r>
              <a:rPr lang="en-US" b="1" i="1" baseline="0"/>
              <a:t> Revenues &amp; Expenses with Tithe Income</a:t>
            </a:r>
            <a:endParaRPr lang="en-US" b="1" i="1"/>
          </a:p>
        </c:rich>
      </c:tx>
      <c:layout>
        <c:manualLayout>
          <c:xMode val="edge"/>
          <c:yMode val="edge"/>
          <c:x val="0.27913240176801229"/>
          <c:y val="3.4993861061484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Data'!$A$3</c:f>
              <c:strCache>
                <c:ptCount val="1"/>
                <c:pt idx="0">
                  <c:v>Operating Revenue</c:v>
                </c:pt>
              </c:strCache>
            </c:strRef>
          </c:tx>
          <c:spPr>
            <a:pattFill prst="trellis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invertIfNegative val="0"/>
          <c:cat>
            <c:strRef>
              <c:f>'Graph Data'!$B$2:$H$2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 Projection</c:v>
                </c:pt>
                <c:pt idx="3">
                  <c:v>Budget 2018</c:v>
                </c:pt>
                <c:pt idx="4">
                  <c:v>Budget 2019</c:v>
                </c:pt>
                <c:pt idx="5">
                  <c:v>Budget 2020</c:v>
                </c:pt>
                <c:pt idx="6">
                  <c:v>Budget 2021</c:v>
                </c:pt>
              </c:strCache>
            </c:strRef>
          </c:cat>
          <c:val>
            <c:numRef>
              <c:f>'Graph Data'!$B$3:$H$3</c:f>
              <c:numCache>
                <c:formatCode>_("$"* #,##0_);_("$"* \(#,##0\);_("$"* "-"??_);_(@_)</c:formatCode>
                <c:ptCount val="7"/>
                <c:pt idx="0">
                  <c:v>1366993</c:v>
                </c:pt>
                <c:pt idx="1">
                  <c:v>1703783</c:v>
                </c:pt>
                <c:pt idx="2">
                  <c:v>1300000</c:v>
                </c:pt>
                <c:pt idx="3">
                  <c:v>1402903</c:v>
                </c:pt>
                <c:pt idx="4">
                  <c:v>1367759</c:v>
                </c:pt>
                <c:pt idx="5">
                  <c:v>1268689</c:v>
                </c:pt>
                <c:pt idx="6">
                  <c:v>1282890</c:v>
                </c:pt>
              </c:numCache>
            </c:numRef>
          </c:val>
        </c:ser>
        <c:ser>
          <c:idx val="1"/>
          <c:order val="1"/>
          <c:tx>
            <c:strRef>
              <c:f>'Graph Data'!$A$4</c:f>
              <c:strCache>
                <c:ptCount val="1"/>
                <c:pt idx="0">
                  <c:v>Operating Expenses</c:v>
                </c:pt>
              </c:strCache>
            </c:strRef>
          </c:tx>
          <c:spPr>
            <a:pattFill prst="sphere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'Graph Data'!$B$2:$H$2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 Projection</c:v>
                </c:pt>
                <c:pt idx="3">
                  <c:v>Budget 2018</c:v>
                </c:pt>
                <c:pt idx="4">
                  <c:v>Budget 2019</c:v>
                </c:pt>
                <c:pt idx="5">
                  <c:v>Budget 2020</c:v>
                </c:pt>
                <c:pt idx="6">
                  <c:v>Budget 2021</c:v>
                </c:pt>
              </c:strCache>
            </c:strRef>
          </c:cat>
          <c:val>
            <c:numRef>
              <c:f>'Graph Data'!$B$4:$H$4</c:f>
              <c:numCache>
                <c:formatCode>_(* #,##0_);_(* \(#,##0\);_(* "-"??_);_(@_)</c:formatCode>
                <c:ptCount val="7"/>
                <c:pt idx="0">
                  <c:v>1250676</c:v>
                </c:pt>
                <c:pt idx="1">
                  <c:v>1563963</c:v>
                </c:pt>
                <c:pt idx="2">
                  <c:v>1236000</c:v>
                </c:pt>
                <c:pt idx="3">
                  <c:v>1413674</c:v>
                </c:pt>
                <c:pt idx="4">
                  <c:v>1398206</c:v>
                </c:pt>
                <c:pt idx="5">
                  <c:v>1438680</c:v>
                </c:pt>
                <c:pt idx="6">
                  <c:v>1483201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565336"/>
        <c:axId val="655565728"/>
      </c:barChart>
      <c:lineChart>
        <c:grouping val="standard"/>
        <c:varyColors val="0"/>
        <c:ser>
          <c:idx val="2"/>
          <c:order val="2"/>
          <c:tx>
            <c:strRef>
              <c:f>'Graph Data'!$A$5</c:f>
              <c:strCache>
                <c:ptCount val="1"/>
                <c:pt idx="0">
                  <c:v>Tithe Income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'Graph Data'!$B$2:$H$2</c:f>
              <c:strCache>
                <c:ptCount val="7"/>
                <c:pt idx="0">
                  <c:v>2016</c:v>
                </c:pt>
                <c:pt idx="1">
                  <c:v>2017</c:v>
                </c:pt>
                <c:pt idx="2">
                  <c:v>2018 Projection</c:v>
                </c:pt>
                <c:pt idx="3">
                  <c:v>Budget 2018</c:v>
                </c:pt>
                <c:pt idx="4">
                  <c:v>Budget 2019</c:v>
                </c:pt>
                <c:pt idx="5">
                  <c:v>Budget 2020</c:v>
                </c:pt>
                <c:pt idx="6">
                  <c:v>Budget 2021</c:v>
                </c:pt>
              </c:strCache>
            </c:strRef>
          </c:cat>
          <c:val>
            <c:numRef>
              <c:f>'Graph Data'!$B$5:$H$5</c:f>
              <c:numCache>
                <c:formatCode>_(* #,##0_);_(* \(#,##0\);_(* "-"??_);_(@_)</c:formatCode>
                <c:ptCount val="7"/>
                <c:pt idx="0">
                  <c:v>487222</c:v>
                </c:pt>
                <c:pt idx="1">
                  <c:v>457328</c:v>
                </c:pt>
                <c:pt idx="2">
                  <c:v>434000</c:v>
                </c:pt>
                <c:pt idx="3">
                  <c:v>443485</c:v>
                </c:pt>
                <c:pt idx="4">
                  <c:v>450743</c:v>
                </c:pt>
                <c:pt idx="5">
                  <c:v>450743</c:v>
                </c:pt>
                <c:pt idx="6">
                  <c:v>450743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65336"/>
        <c:axId val="655565728"/>
      </c:lineChart>
      <c:catAx>
        <c:axId val="65556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65728"/>
        <c:crosses val="autoZero"/>
        <c:auto val="1"/>
        <c:lblAlgn val="ctr"/>
        <c:lblOffset val="100"/>
        <c:noMultiLvlLbl val="0"/>
      </c:catAx>
      <c:valAx>
        <c:axId val="6555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565336"/>
        <c:crosses val="autoZero"/>
        <c:crossBetween val="between"/>
      </c:valAx>
      <c:spPr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615281003543623"/>
          <c:y val="0.91456538520920183"/>
          <c:w val="0.65164322085638571"/>
          <c:h val="6.3025651205364033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6</xdr:row>
      <xdr:rowOff>0</xdr:rowOff>
    </xdr:from>
    <xdr:to>
      <xdr:col>10</xdr:col>
      <xdr:colOff>742950</xdr:colOff>
      <xdr:row>24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tabSelected="1" workbookViewId="0">
      <selection activeCell="D58" sqref="D58"/>
    </sheetView>
  </sheetViews>
  <sheetFormatPr defaultRowHeight="15" x14ac:dyDescent="0.25"/>
  <cols>
    <col min="1" max="3" width="3.7109375" customWidth="1"/>
    <col min="4" max="4" width="37.7109375" customWidth="1"/>
    <col min="5" max="11" width="11.7109375" customWidth="1"/>
    <col min="12" max="12" width="3.7109375" customWidth="1"/>
  </cols>
  <sheetData>
    <row r="1" spans="2:12" ht="18.75" x14ac:dyDescent="0.3">
      <c r="B1" s="2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8.75" x14ac:dyDescent="0.3">
      <c r="B2" s="23" t="s">
        <v>68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8.75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8.75" x14ac:dyDescent="0.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31" spans="5:11" x14ac:dyDescent="0.25">
      <c r="E31" s="8">
        <v>2016</v>
      </c>
      <c r="F31" s="8">
        <v>2017</v>
      </c>
      <c r="G31" s="8">
        <v>2018</v>
      </c>
      <c r="H31" s="8">
        <v>2018</v>
      </c>
      <c r="I31" s="8">
        <v>2019</v>
      </c>
      <c r="J31" s="8">
        <v>2020</v>
      </c>
      <c r="K31" s="8">
        <v>2021</v>
      </c>
    </row>
    <row r="32" spans="5:11" x14ac:dyDescent="0.25">
      <c r="E32" s="9" t="s">
        <v>7</v>
      </c>
      <c r="F32" s="9" t="s">
        <v>7</v>
      </c>
      <c r="G32" s="9" t="s">
        <v>8</v>
      </c>
      <c r="H32" s="9" t="s">
        <v>9</v>
      </c>
      <c r="I32" s="9" t="s">
        <v>9</v>
      </c>
      <c r="J32" s="9" t="s">
        <v>9</v>
      </c>
      <c r="K32" s="9" t="s">
        <v>9</v>
      </c>
    </row>
    <row r="34" spans="2:11" x14ac:dyDescent="0.25">
      <c r="B34" s="10" t="s">
        <v>0</v>
      </c>
    </row>
    <row r="35" spans="2:11" x14ac:dyDescent="0.25">
      <c r="B35" t="s">
        <v>18</v>
      </c>
    </row>
    <row r="36" spans="2:11" x14ac:dyDescent="0.25">
      <c r="C36" t="s">
        <v>53</v>
      </c>
    </row>
    <row r="37" spans="2:11" x14ac:dyDescent="0.25">
      <c r="D37" t="s">
        <v>1</v>
      </c>
      <c r="E37" s="2">
        <v>487222</v>
      </c>
      <c r="F37" s="2">
        <v>457328</v>
      </c>
      <c r="G37" s="2">
        <v>434000</v>
      </c>
      <c r="H37" s="2">
        <v>443485</v>
      </c>
      <c r="I37" s="2">
        <v>450743</v>
      </c>
      <c r="J37" s="2">
        <v>450743</v>
      </c>
      <c r="K37" s="2">
        <v>450743</v>
      </c>
    </row>
    <row r="38" spans="2:11" x14ac:dyDescent="0.25">
      <c r="D38" t="s">
        <v>2</v>
      </c>
      <c r="E38" s="3">
        <v>234196</v>
      </c>
      <c r="F38" s="3">
        <v>218728</v>
      </c>
      <c r="G38" s="3">
        <v>227880</v>
      </c>
      <c r="H38" s="3">
        <v>227880</v>
      </c>
      <c r="I38" s="3">
        <v>243949</v>
      </c>
      <c r="J38" s="3">
        <v>243949</v>
      </c>
      <c r="K38" s="3">
        <v>243939</v>
      </c>
    </row>
    <row r="39" spans="2:11" x14ac:dyDescent="0.25">
      <c r="D39" t="s">
        <v>3</v>
      </c>
      <c r="E39" s="3">
        <v>147276</v>
      </c>
      <c r="F39" s="3">
        <v>0</v>
      </c>
      <c r="G39" s="3">
        <v>143824</v>
      </c>
      <c r="H39" s="3">
        <v>143824</v>
      </c>
      <c r="I39" s="3">
        <v>130021</v>
      </c>
      <c r="J39" s="3">
        <v>120017</v>
      </c>
      <c r="K39" s="3">
        <v>120017</v>
      </c>
    </row>
    <row r="40" spans="2:11" x14ac:dyDescent="0.25">
      <c r="D40" t="s">
        <v>59</v>
      </c>
      <c r="E40" s="3">
        <v>0</v>
      </c>
      <c r="F40" s="3">
        <v>213439</v>
      </c>
      <c r="G40" s="3">
        <v>100000</v>
      </c>
      <c r="H40" s="3">
        <v>100000</v>
      </c>
      <c r="I40" s="3">
        <v>100000</v>
      </c>
      <c r="J40" s="3">
        <v>0</v>
      </c>
      <c r="K40" s="3">
        <v>0</v>
      </c>
    </row>
    <row r="41" spans="2:11" x14ac:dyDescent="0.25">
      <c r="D41" t="s">
        <v>4</v>
      </c>
      <c r="E41" s="3">
        <f>39985+72500+9516+188</f>
        <v>122189</v>
      </c>
      <c r="F41" s="3">
        <f>46463+72500+8888+176</f>
        <v>128027</v>
      </c>
      <c r="G41" s="3">
        <v>114296</v>
      </c>
      <c r="H41" s="3">
        <f>586128-227880-143824-100000</f>
        <v>114424</v>
      </c>
      <c r="I41" s="3">
        <f>589030-I38-I39-I40</f>
        <v>115060</v>
      </c>
      <c r="J41" s="3">
        <f>479026-J38-J39</f>
        <v>115060</v>
      </c>
      <c r="K41" s="3">
        <f>479016-K38-K39</f>
        <v>115060</v>
      </c>
    </row>
    <row r="42" spans="2:11" x14ac:dyDescent="0.25">
      <c r="D42" t="s">
        <v>5</v>
      </c>
      <c r="E42" s="3">
        <f>81025-11265+9400</f>
        <v>79160</v>
      </c>
      <c r="F42" s="3">
        <v>90579</v>
      </c>
      <c r="G42" s="3">
        <v>78000</v>
      </c>
      <c r="H42" s="3">
        <v>78000</v>
      </c>
      <c r="I42" s="3">
        <v>62500</v>
      </c>
      <c r="J42" s="3">
        <v>70000</v>
      </c>
      <c r="K42" s="3">
        <v>84000</v>
      </c>
    </row>
    <row r="43" spans="2:11" x14ac:dyDescent="0.25">
      <c r="D43" t="s">
        <v>6</v>
      </c>
      <c r="E43" s="3">
        <v>11265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2:11" x14ac:dyDescent="0.25">
      <c r="C44" s="24" t="s">
        <v>20</v>
      </c>
      <c r="D44" s="24"/>
      <c r="E44" s="25">
        <f t="shared" ref="E44:K44" si="0">SUM(E37:E43)</f>
        <v>1081308</v>
      </c>
      <c r="F44" s="25">
        <f t="shared" si="0"/>
        <v>1108101</v>
      </c>
      <c r="G44" s="25">
        <f t="shared" si="0"/>
        <v>1098000</v>
      </c>
      <c r="H44" s="25">
        <f t="shared" si="0"/>
        <v>1107613</v>
      </c>
      <c r="I44" s="25">
        <f t="shared" si="0"/>
        <v>1102273</v>
      </c>
      <c r="J44" s="25">
        <f t="shared" si="0"/>
        <v>999769</v>
      </c>
      <c r="K44" s="25">
        <f t="shared" si="0"/>
        <v>1013759</v>
      </c>
    </row>
    <row r="45" spans="2:11" x14ac:dyDescent="0.25">
      <c r="C45" t="s">
        <v>10</v>
      </c>
      <c r="E45" s="3"/>
      <c r="F45" s="3"/>
      <c r="G45" s="3"/>
      <c r="H45" s="3"/>
      <c r="I45" s="3"/>
      <c r="J45" s="3"/>
      <c r="K45" s="3"/>
    </row>
    <row r="46" spans="2:11" x14ac:dyDescent="0.25">
      <c r="D46" t="s">
        <v>11</v>
      </c>
      <c r="E46" s="3">
        <v>30432</v>
      </c>
      <c r="F46" s="3">
        <v>28348</v>
      </c>
      <c r="G46" s="3">
        <v>29000</v>
      </c>
      <c r="H46" s="3">
        <v>29477</v>
      </c>
      <c r="I46" s="3">
        <v>31427</v>
      </c>
      <c r="J46" s="3">
        <v>31427</v>
      </c>
      <c r="K46" s="3">
        <v>31427</v>
      </c>
    </row>
    <row r="47" spans="2:11" x14ac:dyDescent="0.25">
      <c r="D47" t="s">
        <v>12</v>
      </c>
      <c r="E47" s="3">
        <v>16404</v>
      </c>
      <c r="F47" s="3">
        <v>15327</v>
      </c>
      <c r="G47" s="3">
        <v>16000</v>
      </c>
      <c r="H47" s="3">
        <v>15924</v>
      </c>
      <c r="I47" s="3">
        <v>17008</v>
      </c>
      <c r="J47" s="3">
        <v>17008</v>
      </c>
      <c r="K47" s="3">
        <v>17008</v>
      </c>
    </row>
    <row r="48" spans="2:11" x14ac:dyDescent="0.25">
      <c r="D48" t="s">
        <v>13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2:11" x14ac:dyDescent="0.25">
      <c r="D49" t="s">
        <v>14</v>
      </c>
      <c r="E49" s="3">
        <v>5000</v>
      </c>
      <c r="F49" s="3">
        <v>2500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2:11" x14ac:dyDescent="0.25">
      <c r="D50" t="s">
        <v>15</v>
      </c>
      <c r="E50" s="3">
        <v>135928</v>
      </c>
      <c r="F50" s="3">
        <v>97055</v>
      </c>
      <c r="G50" s="3">
        <v>66000</v>
      </c>
      <c r="H50" s="3">
        <v>130615</v>
      </c>
      <c r="I50" s="3">
        <v>100002</v>
      </c>
      <c r="J50" s="3">
        <v>95611</v>
      </c>
      <c r="K50" s="3">
        <v>103647</v>
      </c>
    </row>
    <row r="51" spans="2:11" x14ac:dyDescent="0.25">
      <c r="D51" t="s">
        <v>16</v>
      </c>
      <c r="E51" s="3">
        <v>61421</v>
      </c>
      <c r="F51" s="3">
        <v>67490</v>
      </c>
      <c r="G51" s="3">
        <v>91000</v>
      </c>
      <c r="H51" s="3">
        <v>91774</v>
      </c>
      <c r="I51" s="3">
        <v>86549</v>
      </c>
      <c r="J51" s="3">
        <v>87374</v>
      </c>
      <c r="K51" s="3">
        <v>86549</v>
      </c>
    </row>
    <row r="52" spans="2:11" x14ac:dyDescent="0.25">
      <c r="D52" t="s">
        <v>17</v>
      </c>
      <c r="E52" s="3">
        <v>36500</v>
      </c>
      <c r="F52" s="3">
        <v>384962</v>
      </c>
      <c r="G52" s="3">
        <v>0</v>
      </c>
      <c r="H52" s="3">
        <v>27500</v>
      </c>
      <c r="I52" s="3">
        <v>30500</v>
      </c>
      <c r="J52" s="3">
        <v>37500</v>
      </c>
      <c r="K52" s="3">
        <v>30500</v>
      </c>
    </row>
    <row r="53" spans="2:11" x14ac:dyDescent="0.25">
      <c r="C53" s="24" t="s">
        <v>21</v>
      </c>
      <c r="D53" s="24"/>
      <c r="E53" s="25">
        <f t="shared" ref="E53:K53" si="1">SUM(E46:E52)</f>
        <v>285685</v>
      </c>
      <c r="F53" s="25">
        <f t="shared" si="1"/>
        <v>595682</v>
      </c>
      <c r="G53" s="25">
        <f t="shared" si="1"/>
        <v>202000</v>
      </c>
      <c r="H53" s="25">
        <f t="shared" si="1"/>
        <v>295290</v>
      </c>
      <c r="I53" s="25">
        <f t="shared" si="1"/>
        <v>265486</v>
      </c>
      <c r="J53" s="25">
        <f t="shared" si="1"/>
        <v>268920</v>
      </c>
      <c r="K53" s="25">
        <f t="shared" si="1"/>
        <v>269131</v>
      </c>
    </row>
    <row r="54" spans="2:11" ht="15.75" thickBot="1" x14ac:dyDescent="0.3">
      <c r="B54" s="26" t="s">
        <v>19</v>
      </c>
      <c r="C54" s="26"/>
      <c r="D54" s="26"/>
      <c r="E54" s="32">
        <f t="shared" ref="E54:K54" si="2">E44+E53</f>
        <v>1366993</v>
      </c>
      <c r="F54" s="32">
        <f t="shared" si="2"/>
        <v>1703783</v>
      </c>
      <c r="G54" s="32">
        <f t="shared" si="2"/>
        <v>1300000</v>
      </c>
      <c r="H54" s="32">
        <f t="shared" si="2"/>
        <v>1402903</v>
      </c>
      <c r="I54" s="32">
        <f t="shared" si="2"/>
        <v>1367759</v>
      </c>
      <c r="J54" s="32">
        <f t="shared" si="2"/>
        <v>1268689</v>
      </c>
      <c r="K54" s="32">
        <f t="shared" si="2"/>
        <v>1282890</v>
      </c>
    </row>
    <row r="55" spans="2:11" x14ac:dyDescent="0.25">
      <c r="E55" s="7"/>
      <c r="F55" s="7"/>
      <c r="G55" s="7"/>
      <c r="H55" s="7"/>
      <c r="I55" s="7"/>
      <c r="J55" s="7"/>
      <c r="K55" s="7"/>
    </row>
    <row r="56" spans="2:11" x14ac:dyDescent="0.25">
      <c r="E56" s="7"/>
      <c r="F56" s="7"/>
      <c r="G56" s="7"/>
      <c r="H56" s="7"/>
      <c r="I56" s="7"/>
      <c r="J56" s="7"/>
      <c r="K56" s="7"/>
    </row>
    <row r="57" spans="2:11" x14ac:dyDescent="0.25">
      <c r="E57" s="7"/>
      <c r="F57" s="7"/>
      <c r="G57" s="7"/>
      <c r="H57" s="7"/>
      <c r="I57" s="7"/>
      <c r="J57" s="7"/>
      <c r="K57" s="7"/>
    </row>
    <row r="58" spans="2:11" x14ac:dyDescent="0.25">
      <c r="E58" s="7"/>
      <c r="F58" s="7"/>
      <c r="G58" s="7"/>
      <c r="H58" s="7"/>
      <c r="I58" s="7"/>
      <c r="J58" s="7"/>
      <c r="K58" s="7"/>
    </row>
    <row r="59" spans="2:11" x14ac:dyDescent="0.25">
      <c r="E59" s="7"/>
      <c r="F59" s="7"/>
      <c r="G59" s="7"/>
      <c r="H59" s="7"/>
      <c r="I59" s="7"/>
      <c r="J59" s="7"/>
      <c r="K59" s="7"/>
    </row>
    <row r="60" spans="2:11" x14ac:dyDescent="0.25">
      <c r="E60" s="7"/>
      <c r="F60" s="7"/>
      <c r="G60" s="7"/>
      <c r="H60" s="7"/>
      <c r="I60" s="7"/>
      <c r="J60" s="7"/>
      <c r="K60" s="7"/>
    </row>
    <row r="61" spans="2:11" x14ac:dyDescent="0.25">
      <c r="E61" s="7"/>
      <c r="F61" s="7"/>
      <c r="G61" s="7"/>
      <c r="H61" s="7"/>
      <c r="I61" s="7"/>
      <c r="J61" s="7"/>
      <c r="K61" s="7"/>
    </row>
    <row r="62" spans="2:11" x14ac:dyDescent="0.25">
      <c r="E62" s="11">
        <f>E31</f>
        <v>2016</v>
      </c>
      <c r="F62" s="11">
        <f>F31</f>
        <v>2017</v>
      </c>
      <c r="G62" s="11">
        <f>G31</f>
        <v>2018</v>
      </c>
      <c r="H62" s="11">
        <f>H31</f>
        <v>2018</v>
      </c>
      <c r="I62" s="11">
        <f>I31</f>
        <v>2019</v>
      </c>
      <c r="J62" s="11">
        <f>J31</f>
        <v>2020</v>
      </c>
      <c r="K62" s="11">
        <f>K31</f>
        <v>2021</v>
      </c>
    </row>
    <row r="63" spans="2:11" x14ac:dyDescent="0.25">
      <c r="B63" t="s">
        <v>70</v>
      </c>
      <c r="E63" s="12" t="str">
        <f>E32</f>
        <v>Actual</v>
      </c>
      <c r="F63" s="12" t="str">
        <f>F32</f>
        <v>Actual</v>
      </c>
      <c r="G63" s="12" t="str">
        <f>G32</f>
        <v>Projection</v>
      </c>
      <c r="H63" s="12" t="str">
        <f>H32</f>
        <v>Budget</v>
      </c>
      <c r="I63" s="12" t="str">
        <f>I32</f>
        <v>Budget</v>
      </c>
      <c r="J63" s="12" t="str">
        <f>J32</f>
        <v>Budget</v>
      </c>
      <c r="K63" s="12" t="str">
        <f>K32</f>
        <v>Budget</v>
      </c>
    </row>
    <row r="64" spans="2:11" x14ac:dyDescent="0.25">
      <c r="C64" t="s">
        <v>33</v>
      </c>
      <c r="E64" s="3"/>
      <c r="F64" s="3"/>
      <c r="G64" s="3"/>
      <c r="H64" s="3"/>
      <c r="I64" s="3"/>
      <c r="J64" s="3"/>
      <c r="K64" s="3"/>
    </row>
    <row r="65" spans="3:11" x14ac:dyDescent="0.25">
      <c r="D65" t="s">
        <v>22</v>
      </c>
      <c r="E65" s="3">
        <f>190429</f>
        <v>190429</v>
      </c>
      <c r="F65" s="3">
        <v>208064</v>
      </c>
      <c r="G65" s="3">
        <v>245000</v>
      </c>
      <c r="H65" s="3">
        <f>246274</f>
        <v>246274</v>
      </c>
      <c r="I65" s="3">
        <v>207293</v>
      </c>
      <c r="J65" s="3">
        <v>207293</v>
      </c>
      <c r="K65" s="3">
        <v>235293</v>
      </c>
    </row>
    <row r="66" spans="3:11" x14ac:dyDescent="0.25">
      <c r="D66" t="s">
        <v>23</v>
      </c>
      <c r="E66" s="3">
        <v>100000</v>
      </c>
      <c r="F66" s="3">
        <v>76406</v>
      </c>
      <c r="G66" s="3">
        <v>100000</v>
      </c>
      <c r="H66" s="3">
        <v>100000</v>
      </c>
      <c r="I66" s="3">
        <v>100000</v>
      </c>
      <c r="J66" s="3">
        <v>100000</v>
      </c>
      <c r="K66" s="3">
        <v>100000</v>
      </c>
    </row>
    <row r="67" spans="3:11" x14ac:dyDescent="0.25">
      <c r="D67" t="s">
        <v>24</v>
      </c>
      <c r="E67" s="3">
        <f>223771+10000</f>
        <v>233771</v>
      </c>
      <c r="F67" s="3">
        <v>170072</v>
      </c>
      <c r="G67" s="3">
        <f>124000+17000</f>
        <v>141000</v>
      </c>
      <c r="H67" s="3">
        <v>254990</v>
      </c>
      <c r="I67" s="3">
        <f>248536+10000</f>
        <v>258536</v>
      </c>
      <c r="J67" s="3">
        <f>262785+10000</f>
        <v>272785</v>
      </c>
      <c r="K67" s="3">
        <f>269882+10000</f>
        <v>279882</v>
      </c>
    </row>
    <row r="68" spans="3:11" x14ac:dyDescent="0.25">
      <c r="D68" t="s">
        <v>45</v>
      </c>
      <c r="E68" s="3">
        <v>5903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3:11" x14ac:dyDescent="0.25">
      <c r="D69" t="s">
        <v>26</v>
      </c>
      <c r="E69" s="3">
        <v>75272</v>
      </c>
      <c r="F69" s="3">
        <v>83853</v>
      </c>
      <c r="G69" s="3">
        <v>90000</v>
      </c>
      <c r="H69" s="3">
        <v>112359</v>
      </c>
      <c r="I69" s="3">
        <v>119465</v>
      </c>
      <c r="J69" s="3">
        <v>123121</v>
      </c>
      <c r="K69" s="3">
        <v>127013</v>
      </c>
    </row>
    <row r="70" spans="3:11" x14ac:dyDescent="0.25">
      <c r="D70" t="s">
        <v>27</v>
      </c>
      <c r="E70" s="3">
        <v>64106</v>
      </c>
      <c r="F70" s="3">
        <v>79138</v>
      </c>
      <c r="G70" s="3">
        <v>83000</v>
      </c>
      <c r="H70" s="3">
        <v>80432</v>
      </c>
      <c r="I70" s="3">
        <v>97389</v>
      </c>
      <c r="J70" s="3">
        <v>106918</v>
      </c>
      <c r="K70" s="3">
        <v>102383</v>
      </c>
    </row>
    <row r="71" spans="3:11" x14ac:dyDescent="0.25">
      <c r="D71" t="s">
        <v>28</v>
      </c>
      <c r="E71" s="3">
        <v>86823</v>
      </c>
      <c r="F71" s="3">
        <v>86964</v>
      </c>
      <c r="G71" s="3">
        <v>95000</v>
      </c>
      <c r="H71" s="3">
        <v>93693</v>
      </c>
      <c r="I71" s="3">
        <v>92366</v>
      </c>
      <c r="J71" s="3">
        <v>90901</v>
      </c>
      <c r="K71" s="3">
        <v>88865</v>
      </c>
    </row>
    <row r="72" spans="3:11" x14ac:dyDescent="0.25">
      <c r="D72" t="s">
        <v>29</v>
      </c>
      <c r="E72" s="3">
        <v>88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</row>
    <row r="73" spans="3:11" x14ac:dyDescent="0.25">
      <c r="D73" t="s">
        <v>30</v>
      </c>
      <c r="E73" s="3">
        <v>149897</v>
      </c>
      <c r="F73" s="3">
        <v>150234</v>
      </c>
      <c r="G73" s="3">
        <v>213000</v>
      </c>
      <c r="H73" s="3">
        <v>178140</v>
      </c>
      <c r="I73" s="3">
        <v>181741</v>
      </c>
      <c r="J73" s="3">
        <v>189091</v>
      </c>
      <c r="K73" s="3">
        <v>196960</v>
      </c>
    </row>
    <row r="74" spans="3:11" x14ac:dyDescent="0.25">
      <c r="D74" t="s">
        <v>54</v>
      </c>
      <c r="E74" s="3">
        <f>18224+23181</f>
        <v>41405</v>
      </c>
      <c r="F74" s="3">
        <f>18742+20084</f>
        <v>38826</v>
      </c>
      <c r="G74" s="3">
        <v>19000</v>
      </c>
      <c r="H74" s="3">
        <v>31227</v>
      </c>
      <c r="I74" s="3">
        <v>25409</v>
      </c>
      <c r="J74" s="3">
        <v>25530</v>
      </c>
      <c r="K74" s="3">
        <v>25553</v>
      </c>
    </row>
    <row r="75" spans="3:11" x14ac:dyDescent="0.25">
      <c r="D75" t="s">
        <v>31</v>
      </c>
      <c r="E75" s="3">
        <f>55062</f>
        <v>55062</v>
      </c>
      <c r="F75" s="3">
        <v>54655</v>
      </c>
      <c r="G75" s="3">
        <v>45000</v>
      </c>
      <c r="H75" s="3">
        <f>58200</f>
        <v>58200</v>
      </c>
      <c r="I75" s="3">
        <v>60900</v>
      </c>
      <c r="J75" s="3">
        <v>60900</v>
      </c>
      <c r="K75" s="3">
        <v>68500</v>
      </c>
    </row>
    <row r="76" spans="3:11" x14ac:dyDescent="0.25">
      <c r="D76" t="s">
        <v>32</v>
      </c>
      <c r="E76" s="3">
        <f>11057</f>
        <v>11057</v>
      </c>
      <c r="F76" s="3">
        <v>35129</v>
      </c>
      <c r="G76" s="3">
        <v>16000</v>
      </c>
      <c r="H76" s="3">
        <f>19892</f>
        <v>19892</v>
      </c>
      <c r="I76" s="3">
        <v>20148</v>
      </c>
      <c r="J76" s="3">
        <v>20148</v>
      </c>
      <c r="K76" s="3">
        <v>20148</v>
      </c>
    </row>
    <row r="77" spans="3:11" x14ac:dyDescent="0.25">
      <c r="C77" s="24" t="s">
        <v>67</v>
      </c>
      <c r="D77" s="24"/>
      <c r="E77" s="25">
        <f>SUM(E65:E76)</f>
        <v>1013813</v>
      </c>
      <c r="F77" s="25">
        <f t="shared" ref="F77:K77" si="3">SUM(F65:F76)</f>
        <v>983341</v>
      </c>
      <c r="G77" s="25">
        <f t="shared" si="3"/>
        <v>1047000</v>
      </c>
      <c r="H77" s="25">
        <f t="shared" si="3"/>
        <v>1175207</v>
      </c>
      <c r="I77" s="25">
        <f t="shared" si="3"/>
        <v>1163247</v>
      </c>
      <c r="J77" s="25">
        <f t="shared" si="3"/>
        <v>1196687</v>
      </c>
      <c r="K77" s="25">
        <f t="shared" si="3"/>
        <v>1244597</v>
      </c>
    </row>
    <row r="78" spans="3:11" x14ac:dyDescent="0.25">
      <c r="C78" t="s">
        <v>34</v>
      </c>
      <c r="E78" s="3"/>
      <c r="F78" s="3"/>
      <c r="G78" s="3"/>
      <c r="H78" s="3"/>
      <c r="I78" s="3"/>
      <c r="J78" s="3"/>
      <c r="K78" s="3"/>
    </row>
    <row r="79" spans="3:11" x14ac:dyDescent="0.25">
      <c r="D79" t="s">
        <v>35</v>
      </c>
      <c r="E79" s="3">
        <v>13865</v>
      </c>
      <c r="F79" s="3">
        <v>18166</v>
      </c>
      <c r="G79" s="3">
        <v>15000</v>
      </c>
      <c r="H79" s="3">
        <v>15924</v>
      </c>
      <c r="I79" s="3">
        <v>17008</v>
      </c>
      <c r="J79" s="3">
        <v>17008</v>
      </c>
      <c r="K79" s="3">
        <v>17008</v>
      </c>
    </row>
    <row r="80" spans="3:11" x14ac:dyDescent="0.25">
      <c r="D80" t="s">
        <v>14</v>
      </c>
      <c r="E80" s="3">
        <v>5000</v>
      </c>
      <c r="F80" s="3">
        <v>2500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2:11" x14ac:dyDescent="0.25">
      <c r="D81" t="s">
        <v>15</v>
      </c>
      <c r="E81" s="3">
        <v>73587</v>
      </c>
      <c r="F81" s="3">
        <v>44543</v>
      </c>
      <c r="G81" s="3">
        <v>46000</v>
      </c>
      <c r="H81" s="3">
        <v>46300</v>
      </c>
      <c r="I81" s="3">
        <v>43800</v>
      </c>
      <c r="J81" s="3">
        <v>41300</v>
      </c>
      <c r="K81" s="3">
        <v>41300</v>
      </c>
    </row>
    <row r="82" spans="2:11" x14ac:dyDescent="0.25">
      <c r="D82" t="s">
        <v>36</v>
      </c>
      <c r="E82" s="3">
        <v>114670</v>
      </c>
      <c r="F82" s="3">
        <v>117109</v>
      </c>
      <c r="G82" s="3">
        <v>100000</v>
      </c>
      <c r="H82" s="3">
        <v>148743</v>
      </c>
      <c r="I82" s="3">
        <v>143651</v>
      </c>
      <c r="J82" s="3">
        <v>146185</v>
      </c>
      <c r="K82" s="3">
        <v>149796</v>
      </c>
    </row>
    <row r="83" spans="2:11" x14ac:dyDescent="0.25">
      <c r="D83" t="s">
        <v>17</v>
      </c>
      <c r="E83" s="4">
        <v>29741</v>
      </c>
      <c r="F83" s="4">
        <v>398304</v>
      </c>
      <c r="G83" s="4">
        <v>28000</v>
      </c>
      <c r="H83" s="4">
        <v>27500</v>
      </c>
      <c r="I83" s="4">
        <v>30500</v>
      </c>
      <c r="J83" s="4">
        <v>37500</v>
      </c>
      <c r="K83" s="4">
        <v>30500</v>
      </c>
    </row>
    <row r="84" spans="2:11" x14ac:dyDescent="0.25">
      <c r="C84" s="24" t="s">
        <v>34</v>
      </c>
      <c r="D84" s="24"/>
      <c r="E84" s="27">
        <f>SUM(E79:E83)</f>
        <v>236863</v>
      </c>
      <c r="F84" s="27">
        <f t="shared" ref="F84:K84" si="4">SUM(F79:F83)</f>
        <v>580622</v>
      </c>
      <c r="G84" s="27">
        <f t="shared" si="4"/>
        <v>189000</v>
      </c>
      <c r="H84" s="27">
        <f t="shared" si="4"/>
        <v>238467</v>
      </c>
      <c r="I84" s="27">
        <f t="shared" si="4"/>
        <v>234959</v>
      </c>
      <c r="J84" s="27">
        <f t="shared" si="4"/>
        <v>241993</v>
      </c>
      <c r="K84" s="27">
        <f t="shared" si="4"/>
        <v>238604</v>
      </c>
    </row>
    <row r="85" spans="2:11" ht="15.75" thickBot="1" x14ac:dyDescent="0.3">
      <c r="B85" s="26" t="s">
        <v>71</v>
      </c>
      <c r="C85" s="26"/>
      <c r="D85" s="26"/>
      <c r="E85" s="32">
        <f>E77+E84</f>
        <v>1250676</v>
      </c>
      <c r="F85" s="32">
        <f t="shared" ref="F85:K85" si="5">F77+F84</f>
        <v>1563963</v>
      </c>
      <c r="G85" s="32">
        <f t="shared" si="5"/>
        <v>1236000</v>
      </c>
      <c r="H85" s="32">
        <f t="shared" si="5"/>
        <v>1413674</v>
      </c>
      <c r="I85" s="32">
        <f t="shared" si="5"/>
        <v>1398206</v>
      </c>
      <c r="J85" s="32">
        <f t="shared" si="5"/>
        <v>1438680</v>
      </c>
      <c r="K85" s="32">
        <f t="shared" si="5"/>
        <v>1483201</v>
      </c>
    </row>
    <row r="86" spans="2:11" ht="15.75" thickBot="1" x14ac:dyDescent="0.3">
      <c r="E86" s="3"/>
      <c r="F86" s="3"/>
      <c r="G86" s="3"/>
      <c r="H86" s="3"/>
      <c r="I86" s="3"/>
      <c r="J86" s="3"/>
      <c r="K86" s="3"/>
    </row>
    <row r="87" spans="2:11" ht="15.75" thickBot="1" x14ac:dyDescent="0.3">
      <c r="B87" s="26" t="s">
        <v>63</v>
      </c>
      <c r="C87" s="28"/>
      <c r="D87" s="26"/>
      <c r="E87" s="29">
        <f>E54-E85</f>
        <v>116317</v>
      </c>
      <c r="F87" s="30">
        <f>F54-F85</f>
        <v>139820</v>
      </c>
      <c r="G87" s="30">
        <f>G54-G85</f>
        <v>64000</v>
      </c>
      <c r="H87" s="30">
        <f>H54-H85</f>
        <v>-10771</v>
      </c>
      <c r="I87" s="30">
        <f>I54-I85</f>
        <v>-30447</v>
      </c>
      <c r="J87" s="30">
        <f>J54-J85</f>
        <v>-169991</v>
      </c>
      <c r="K87" s="31">
        <f>K54-K85</f>
        <v>-200311</v>
      </c>
    </row>
    <row r="88" spans="2:11" x14ac:dyDescent="0.25">
      <c r="E88" s="3"/>
      <c r="F88" s="3"/>
      <c r="G88" s="3"/>
      <c r="H88" s="3"/>
      <c r="I88" s="3"/>
      <c r="J88" s="3"/>
      <c r="K88" s="3"/>
    </row>
    <row r="89" spans="2:11" x14ac:dyDescent="0.25">
      <c r="E89" s="3"/>
      <c r="F89" s="3"/>
      <c r="G89" s="3"/>
      <c r="H89" s="3"/>
      <c r="I89" s="3"/>
      <c r="J89" s="3"/>
      <c r="K89" s="3"/>
    </row>
    <row r="90" spans="2:11" x14ac:dyDescent="0.25">
      <c r="E90" s="3"/>
      <c r="F90" s="3"/>
      <c r="G90" s="3"/>
      <c r="H90" s="3"/>
      <c r="I90" s="3"/>
      <c r="J90" s="3"/>
      <c r="K90" s="3"/>
    </row>
    <row r="91" spans="2:11" x14ac:dyDescent="0.25">
      <c r="E91" s="3"/>
      <c r="F91" s="3"/>
      <c r="G91" s="3"/>
      <c r="H91" s="3"/>
      <c r="I91" s="3"/>
      <c r="J91" s="3"/>
      <c r="K91" s="3"/>
    </row>
    <row r="92" spans="2:11" x14ac:dyDescent="0.25">
      <c r="E92" s="3"/>
      <c r="F92" s="3"/>
      <c r="G92" s="3"/>
      <c r="H92" s="3"/>
      <c r="I92" s="3"/>
      <c r="J92" s="3"/>
      <c r="K92" s="3"/>
    </row>
    <row r="93" spans="2:11" x14ac:dyDescent="0.25">
      <c r="E93" s="3"/>
      <c r="F93" s="3"/>
      <c r="G93" s="3"/>
      <c r="H93" s="3"/>
      <c r="I93" s="3"/>
      <c r="J93" s="3"/>
      <c r="K93" s="3"/>
    </row>
    <row r="94" spans="2:11" x14ac:dyDescent="0.25">
      <c r="B94" s="14"/>
      <c r="C94" s="14"/>
      <c r="D94" s="14"/>
      <c r="E94" s="15"/>
      <c r="F94" s="15"/>
      <c r="G94" s="15"/>
      <c r="H94" s="15"/>
      <c r="I94" s="15"/>
      <c r="J94" s="15"/>
      <c r="K94" s="15"/>
    </row>
    <row r="95" spans="2:11" x14ac:dyDescent="0.25">
      <c r="B95" s="14"/>
      <c r="C95" s="14"/>
      <c r="D95" s="14"/>
      <c r="E95" s="15"/>
      <c r="F95" s="15"/>
      <c r="G95" s="15"/>
      <c r="H95" s="15"/>
      <c r="I95" s="15"/>
      <c r="J95" s="15"/>
      <c r="K95" s="15"/>
    </row>
    <row r="96" spans="2:11" x14ac:dyDescent="0.25">
      <c r="B96" s="14"/>
      <c r="C96" s="14"/>
      <c r="D96" s="14"/>
      <c r="E96" s="15"/>
      <c r="F96" s="15"/>
      <c r="G96" s="15"/>
      <c r="H96" s="15"/>
      <c r="I96" s="15"/>
      <c r="J96" s="15"/>
      <c r="K96" s="15"/>
    </row>
    <row r="97" spans="2:11" x14ac:dyDescent="0.25">
      <c r="B97" s="14"/>
      <c r="C97" s="14"/>
      <c r="D97" s="14"/>
      <c r="E97" s="15"/>
      <c r="F97" s="15"/>
      <c r="G97" s="15"/>
      <c r="H97" s="15"/>
      <c r="I97" s="15"/>
      <c r="J97" s="15"/>
      <c r="K97" s="15"/>
    </row>
  </sheetData>
  <mergeCells count="2">
    <mergeCell ref="B1:L1"/>
    <mergeCell ref="B2:L2"/>
  </mergeCells>
  <pageMargins left="0.25" right="0.25" top="0.75" bottom="0.75" header="0.3" footer="0.3"/>
  <pageSetup scale="75" fitToHeight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workbookViewId="0">
      <selection activeCell="A5" sqref="A5"/>
    </sheetView>
  </sheetViews>
  <sheetFormatPr defaultRowHeight="15" x14ac:dyDescent="0.25"/>
  <cols>
    <col min="1" max="1" width="33.28515625" customWidth="1"/>
    <col min="2" max="8" width="15.7109375" customWidth="1"/>
    <col min="9" max="11" width="11.7109375" customWidth="1"/>
  </cols>
  <sheetData>
    <row r="2" spans="1:8" x14ac:dyDescent="0.25">
      <c r="B2" s="1">
        <v>2016</v>
      </c>
      <c r="C2" s="1">
        <v>2017</v>
      </c>
      <c r="D2" s="1" t="s">
        <v>66</v>
      </c>
      <c r="E2" s="1" t="s">
        <v>49</v>
      </c>
      <c r="F2" s="1" t="s">
        <v>48</v>
      </c>
      <c r="G2" s="1" t="s">
        <v>60</v>
      </c>
      <c r="H2" s="1" t="s">
        <v>65</v>
      </c>
    </row>
    <row r="3" spans="1:8" x14ac:dyDescent="0.25">
      <c r="A3" s="10" t="s">
        <v>46</v>
      </c>
      <c r="B3" s="19">
        <f>Report!E54</f>
        <v>1366993</v>
      </c>
      <c r="C3" s="19">
        <f>Report!F54</f>
        <v>1703783</v>
      </c>
      <c r="D3" s="19">
        <f>Report!G54</f>
        <v>1300000</v>
      </c>
      <c r="E3" s="19">
        <f>Report!H54</f>
        <v>1402903</v>
      </c>
      <c r="F3" s="19">
        <f>Report!I54</f>
        <v>1367759</v>
      </c>
      <c r="G3" s="19">
        <f>Report!J54</f>
        <v>1268689</v>
      </c>
      <c r="H3" s="19">
        <f>Report!K54</f>
        <v>1282890</v>
      </c>
    </row>
    <row r="4" spans="1:8" x14ac:dyDescent="0.25">
      <c r="A4" s="10" t="s">
        <v>69</v>
      </c>
      <c r="B4" s="20">
        <f>Report!E85</f>
        <v>1250676</v>
      </c>
      <c r="C4" s="20">
        <f>Report!F85</f>
        <v>1563963</v>
      </c>
      <c r="D4" s="20">
        <f>Report!G85</f>
        <v>1236000</v>
      </c>
      <c r="E4" s="20">
        <f>Report!H85</f>
        <v>1413674</v>
      </c>
      <c r="F4" s="20">
        <f>Report!I85</f>
        <v>1398206</v>
      </c>
      <c r="G4" s="20">
        <f>Report!J85</f>
        <v>1438680</v>
      </c>
      <c r="H4" s="20">
        <f>Report!K85</f>
        <v>1483201</v>
      </c>
    </row>
    <row r="5" spans="1:8" x14ac:dyDescent="0.25">
      <c r="A5" s="10" t="s">
        <v>47</v>
      </c>
      <c r="B5" s="20">
        <f>Report!E37</f>
        <v>487222</v>
      </c>
      <c r="C5" s="20">
        <f>Report!F37</f>
        <v>457328</v>
      </c>
      <c r="D5" s="20">
        <f>Report!G37</f>
        <v>434000</v>
      </c>
      <c r="E5" s="20">
        <f>Report!H37</f>
        <v>443485</v>
      </c>
      <c r="F5" s="20">
        <f>Report!I37</f>
        <v>450743</v>
      </c>
      <c r="G5" s="20">
        <f>Report!J37</f>
        <v>450743</v>
      </c>
      <c r="H5" s="20">
        <f>Report!K37</f>
        <v>450743</v>
      </c>
    </row>
    <row r="6" spans="1:8" x14ac:dyDescent="0.25">
      <c r="A6" t="s">
        <v>58</v>
      </c>
      <c r="B6" s="3">
        <v>4700263</v>
      </c>
      <c r="C6" s="3">
        <f>B6*(1+C7)</f>
        <v>4632109.1864999998</v>
      </c>
      <c r="D6" s="17">
        <f>C6*(1+D7)</f>
        <v>4508431.8712204499</v>
      </c>
      <c r="E6" s="17">
        <f>D6*(1+E7)</f>
        <v>4360555.3058444187</v>
      </c>
      <c r="F6" s="17">
        <f>D6*(1+F7)</f>
        <v>4346579.1670436356</v>
      </c>
      <c r="G6" s="17">
        <f>E6*(1+G7)</f>
        <v>4204011.3703646036</v>
      </c>
      <c r="H6" s="17">
        <f>F6*(1+H7)</f>
        <v>4190536.974946769</v>
      </c>
    </row>
    <row r="7" spans="1:8" x14ac:dyDescent="0.25">
      <c r="A7" t="s">
        <v>56</v>
      </c>
      <c r="B7" s="16" t="e">
        <f>(B6/A6)-1</f>
        <v>#VALUE!</v>
      </c>
      <c r="C7" s="16">
        <v>-1.4500000000000001E-2</v>
      </c>
      <c r="D7" s="18">
        <v>-2.6700000000000002E-2</v>
      </c>
      <c r="E7" s="18">
        <v>-3.2800000000000003E-2</v>
      </c>
      <c r="F7" s="18">
        <v>-3.5900000000000001E-2</v>
      </c>
      <c r="G7" s="18">
        <v>-3.5900000000000001E-2</v>
      </c>
      <c r="H7" s="18">
        <v>-3.5900000000000001E-2</v>
      </c>
    </row>
    <row r="8" spans="1:8" x14ac:dyDescent="0.25">
      <c r="A8" t="s">
        <v>57</v>
      </c>
      <c r="B8" s="16">
        <f t="shared" ref="B8:G8" si="0">B5/B6</f>
        <v>0.10365845485667505</v>
      </c>
      <c r="C8" s="16">
        <f t="shared" si="0"/>
        <v>9.8729969779826135E-2</v>
      </c>
      <c r="D8" s="18">
        <f t="shared" si="0"/>
        <v>9.626406972465007E-2</v>
      </c>
      <c r="E8" s="18">
        <f t="shared" si="0"/>
        <v>0.10170378974567769</v>
      </c>
      <c r="F8" s="18">
        <f t="shared" si="0"/>
        <v>0.10370063046765506</v>
      </c>
      <c r="G8" s="18">
        <f t="shared" si="0"/>
        <v>0.10721735987143825</v>
      </c>
      <c r="H8" s="18">
        <f t="shared" ref="H8" si="1">H5/H6</f>
        <v>0.1075621102247226</v>
      </c>
    </row>
    <row r="9" spans="1:8" x14ac:dyDescent="0.25">
      <c r="A9" t="s">
        <v>52</v>
      </c>
      <c r="B9" s="13">
        <f t="shared" ref="B9:G9" si="2">B3-B4</f>
        <v>116317</v>
      </c>
      <c r="C9" s="13">
        <f t="shared" si="2"/>
        <v>139820</v>
      </c>
      <c r="D9" s="13">
        <f t="shared" si="2"/>
        <v>64000</v>
      </c>
      <c r="E9" s="13">
        <f t="shared" si="2"/>
        <v>-10771</v>
      </c>
      <c r="F9" s="13">
        <f t="shared" si="2"/>
        <v>-30447</v>
      </c>
      <c r="G9" s="13">
        <f t="shared" si="2"/>
        <v>-169991</v>
      </c>
      <c r="H9" s="13">
        <f t="shared" ref="H9" si="3">H3-H4</f>
        <v>-200311</v>
      </c>
    </row>
    <row r="10" spans="1:8" x14ac:dyDescent="0.25">
      <c r="B10" s="13"/>
      <c r="C10" s="13"/>
      <c r="D10" s="13"/>
      <c r="E10" s="13"/>
      <c r="F10" s="13"/>
      <c r="G10" s="13"/>
      <c r="H10" s="13"/>
    </row>
    <row r="11" spans="1:8" x14ac:dyDescent="0.25">
      <c r="A11" t="s">
        <v>61</v>
      </c>
      <c r="B11" s="13">
        <v>387362</v>
      </c>
      <c r="C11" s="13">
        <v>394982</v>
      </c>
      <c r="D11" s="13"/>
      <c r="E11" s="13">
        <v>395000</v>
      </c>
      <c r="F11" s="13">
        <v>395000</v>
      </c>
      <c r="G11" s="13">
        <v>395000</v>
      </c>
      <c r="H11" s="13">
        <v>395000</v>
      </c>
    </row>
    <row r="12" spans="1:8" ht="17.25" x14ac:dyDescent="0.4">
      <c r="A12" t="s">
        <v>51</v>
      </c>
      <c r="B12" s="21">
        <v>141180</v>
      </c>
      <c r="C12" s="21">
        <v>178180</v>
      </c>
      <c r="D12" s="21"/>
      <c r="E12" s="21">
        <v>191180</v>
      </c>
      <c r="F12" s="21">
        <v>234180</v>
      </c>
      <c r="G12" s="21">
        <v>277180</v>
      </c>
      <c r="H12" s="21">
        <v>277180</v>
      </c>
    </row>
    <row r="13" spans="1:8" x14ac:dyDescent="0.25">
      <c r="B13" s="13">
        <f t="shared" ref="B13:C13" si="4">SUM(B11:B12)</f>
        <v>528542</v>
      </c>
      <c r="C13" s="13">
        <f t="shared" si="4"/>
        <v>573162</v>
      </c>
      <c r="D13" s="13"/>
      <c r="E13" s="13">
        <f t="shared" ref="E13:G13" si="5">SUM(E11:E12)</f>
        <v>586180</v>
      </c>
      <c r="F13" s="13">
        <f t="shared" si="5"/>
        <v>629180</v>
      </c>
      <c r="G13" s="13">
        <f t="shared" si="5"/>
        <v>672180</v>
      </c>
      <c r="H13" s="13">
        <f t="shared" ref="H13" si="6">SUM(H11:H12)</f>
        <v>672180</v>
      </c>
    </row>
    <row r="14" spans="1:8" x14ac:dyDescent="0.25">
      <c r="B14" s="13"/>
      <c r="C14" s="13">
        <f>C13-B13</f>
        <v>44620</v>
      </c>
      <c r="D14" s="13"/>
      <c r="E14" s="13">
        <f>E13-C13</f>
        <v>13018</v>
      </c>
      <c r="F14" s="13">
        <f>F13-E13</f>
        <v>43000</v>
      </c>
      <c r="G14" s="13">
        <f>G13-F13</f>
        <v>43000</v>
      </c>
      <c r="H14" s="13">
        <f>H13-G13</f>
        <v>0</v>
      </c>
    </row>
    <row r="15" spans="1:8" x14ac:dyDescent="0.25">
      <c r="B15" s="13"/>
      <c r="C15" s="13"/>
      <c r="D15" s="13"/>
      <c r="E15" s="13"/>
      <c r="F15" s="13"/>
      <c r="G15" s="13"/>
      <c r="H15" s="13"/>
    </row>
    <row r="16" spans="1:8" x14ac:dyDescent="0.25">
      <c r="B16" s="13"/>
      <c r="C16" s="13"/>
      <c r="D16" s="13"/>
      <c r="E16" s="13"/>
      <c r="F16" s="13"/>
      <c r="G16" s="13"/>
      <c r="H16" s="13"/>
    </row>
    <row r="18" spans="1:11" x14ac:dyDescent="0.25">
      <c r="B18" s="1">
        <f t="shared" ref="B18:C18" si="7">B2</f>
        <v>2016</v>
      </c>
      <c r="C18" s="1">
        <f t="shared" si="7"/>
        <v>2017</v>
      </c>
      <c r="D18" s="1" t="str">
        <f>E2</f>
        <v>Budget 2018</v>
      </c>
      <c r="E18" s="1" t="str">
        <f>F2</f>
        <v>Budget 2019</v>
      </c>
      <c r="F18" s="1" t="str">
        <f>G2</f>
        <v>Budget 2020</v>
      </c>
    </row>
    <row r="19" spans="1:11" x14ac:dyDescent="0.25">
      <c r="B19" s="2">
        <f>684382-B13</f>
        <v>155840</v>
      </c>
      <c r="C19" s="2">
        <f>B19+D9-D14</f>
        <v>219840</v>
      </c>
      <c r="D19" s="2">
        <f>C19+E9-E14</f>
        <v>196051</v>
      </c>
      <c r="E19" s="2">
        <f>D19+F9-F14</f>
        <v>122604</v>
      </c>
      <c r="F19" s="2">
        <v>0</v>
      </c>
    </row>
    <row r="20" spans="1:11" x14ac:dyDescent="0.25">
      <c r="B20" s="2"/>
      <c r="C20" s="2"/>
      <c r="D20" s="2"/>
      <c r="E20" s="2"/>
      <c r="F20" s="2"/>
    </row>
    <row r="21" spans="1:11" x14ac:dyDescent="0.25">
      <c r="A21" t="s">
        <v>62</v>
      </c>
      <c r="B21" s="2">
        <v>0</v>
      </c>
      <c r="C21" s="2">
        <v>0</v>
      </c>
      <c r="D21" s="2">
        <v>301032</v>
      </c>
      <c r="E21" s="2">
        <v>164300</v>
      </c>
      <c r="F21" s="2">
        <v>0</v>
      </c>
    </row>
    <row r="22" spans="1:11" x14ac:dyDescent="0.25">
      <c r="B22" s="2"/>
      <c r="C22" s="2"/>
      <c r="D22" s="2"/>
      <c r="E22" s="2"/>
      <c r="F22" s="2"/>
    </row>
    <row r="23" spans="1:11" x14ac:dyDescent="0.25">
      <c r="A23" t="s">
        <v>51</v>
      </c>
      <c r="B23" s="2">
        <v>155840</v>
      </c>
      <c r="C23" s="2">
        <v>345580</v>
      </c>
      <c r="D23" s="2">
        <v>0</v>
      </c>
      <c r="E23" s="2">
        <v>0</v>
      </c>
      <c r="F23" s="2">
        <v>0</v>
      </c>
    </row>
    <row r="30" spans="1:11" x14ac:dyDescent="0.25">
      <c r="B30" t="s">
        <v>37</v>
      </c>
      <c r="E30" s="3"/>
      <c r="F30" s="3"/>
      <c r="G30" s="3"/>
      <c r="H30" s="3"/>
      <c r="I30" s="3"/>
      <c r="J30" s="3"/>
      <c r="K30" s="3"/>
    </row>
    <row r="31" spans="1:11" x14ac:dyDescent="0.25">
      <c r="C31" t="s">
        <v>38</v>
      </c>
      <c r="E31" s="3">
        <v>-3000</v>
      </c>
      <c r="F31" s="3">
        <v>7000</v>
      </c>
      <c r="G31" s="3">
        <v>0</v>
      </c>
      <c r="H31" s="3">
        <v>-3000</v>
      </c>
      <c r="I31" s="3">
        <v>-3000</v>
      </c>
      <c r="J31" s="3">
        <v>-3000</v>
      </c>
      <c r="K31" s="3">
        <v>-3000</v>
      </c>
    </row>
    <row r="32" spans="1:11" x14ac:dyDescent="0.25">
      <c r="C32" t="s">
        <v>64</v>
      </c>
      <c r="E32" s="3">
        <v>0</v>
      </c>
      <c r="F32" s="3">
        <v>0</v>
      </c>
      <c r="G32" s="3">
        <v>0</v>
      </c>
      <c r="H32" s="3">
        <v>0</v>
      </c>
      <c r="I32" s="3">
        <v>-2000</v>
      </c>
      <c r="J32" s="3">
        <v>-2000</v>
      </c>
      <c r="K32" s="3">
        <v>-2000</v>
      </c>
    </row>
    <row r="33" spans="2:11" x14ac:dyDescent="0.25">
      <c r="C33" t="s">
        <v>39</v>
      </c>
      <c r="E33" s="3">
        <v>0</v>
      </c>
      <c r="F33" s="3">
        <v>-7500</v>
      </c>
      <c r="G33" s="3">
        <v>-7500</v>
      </c>
      <c r="H33" s="3">
        <v>-7500</v>
      </c>
      <c r="I33" s="3">
        <v>0</v>
      </c>
      <c r="J33" s="3">
        <v>-7500</v>
      </c>
      <c r="K33" s="3">
        <v>-7500</v>
      </c>
    </row>
    <row r="34" spans="2:11" x14ac:dyDescent="0.25">
      <c r="C34" t="s">
        <v>40</v>
      </c>
      <c r="E34" s="3">
        <v>-2000</v>
      </c>
      <c r="F34" s="3">
        <v>-2000</v>
      </c>
      <c r="G34" s="3">
        <v>-2000</v>
      </c>
      <c r="H34" s="3">
        <v>-2000</v>
      </c>
      <c r="I34" s="3">
        <v>-2000</v>
      </c>
      <c r="J34" s="3">
        <v>-2000</v>
      </c>
      <c r="K34" s="3">
        <v>-2000</v>
      </c>
    </row>
    <row r="35" spans="2:11" x14ac:dyDescent="0.25">
      <c r="C35" t="s">
        <v>55</v>
      </c>
      <c r="E35" s="3">
        <v>-1500</v>
      </c>
      <c r="F35" s="3">
        <v>-1500</v>
      </c>
      <c r="G35" s="3">
        <v>-1500</v>
      </c>
      <c r="H35" s="3">
        <v>-1500</v>
      </c>
      <c r="I35" s="3">
        <v>-1500</v>
      </c>
      <c r="J35" s="3">
        <v>-1500</v>
      </c>
      <c r="K35" s="3">
        <v>-1500</v>
      </c>
    </row>
    <row r="36" spans="2:11" x14ac:dyDescent="0.25">
      <c r="C36" t="s">
        <v>25</v>
      </c>
      <c r="E36" s="3">
        <v>-10000</v>
      </c>
      <c r="F36" s="3">
        <v>-10000</v>
      </c>
      <c r="G36" s="3">
        <v>-10000</v>
      </c>
      <c r="H36" s="3">
        <v>-10000</v>
      </c>
      <c r="I36" s="3">
        <v>-10000</v>
      </c>
      <c r="J36" s="3">
        <v>-10000</v>
      </c>
      <c r="K36" s="3">
        <v>-10000</v>
      </c>
    </row>
    <row r="37" spans="2:11" x14ac:dyDescent="0.25">
      <c r="C37" t="s">
        <v>41</v>
      </c>
      <c r="E37" s="3">
        <v>-12000</v>
      </c>
      <c r="F37" s="3">
        <v>-12000</v>
      </c>
      <c r="G37" s="3">
        <v>-12000</v>
      </c>
      <c r="H37" s="3">
        <v>24000</v>
      </c>
      <c r="I37" s="3">
        <v>-14000</v>
      </c>
      <c r="J37" s="3">
        <v>-14000</v>
      </c>
      <c r="K37" s="3">
        <v>28000</v>
      </c>
    </row>
    <row r="38" spans="2:11" x14ac:dyDescent="0.25">
      <c r="C38" t="s">
        <v>42</v>
      </c>
      <c r="E38" s="3">
        <v>-6500</v>
      </c>
      <c r="F38" s="3">
        <v>0</v>
      </c>
      <c r="G38" s="3">
        <v>0</v>
      </c>
      <c r="H38" s="4">
        <v>-7000</v>
      </c>
      <c r="I38" s="4">
        <v>-7000</v>
      </c>
      <c r="J38" s="4">
        <v>-7000</v>
      </c>
      <c r="K38" s="4">
        <v>-7000</v>
      </c>
    </row>
    <row r="39" spans="2:11" x14ac:dyDescent="0.25">
      <c r="B39" t="s">
        <v>43</v>
      </c>
      <c r="E39" s="5">
        <f t="shared" ref="E39:K39" si="8">SUM(E31:E38)</f>
        <v>-35000</v>
      </c>
      <c r="F39" s="5">
        <f t="shared" si="8"/>
        <v>-26000</v>
      </c>
      <c r="G39" s="5">
        <f t="shared" si="8"/>
        <v>-33000</v>
      </c>
      <c r="H39" s="5">
        <f t="shared" si="8"/>
        <v>-7000</v>
      </c>
      <c r="I39" s="5">
        <f t="shared" si="8"/>
        <v>-39500</v>
      </c>
      <c r="J39" s="5">
        <f t="shared" si="8"/>
        <v>-47000</v>
      </c>
      <c r="K39" s="5">
        <f t="shared" si="8"/>
        <v>-5000</v>
      </c>
    </row>
    <row r="41" spans="2:11" ht="15.75" thickBot="1" x14ac:dyDescent="0.3">
      <c r="B41" t="s">
        <v>44</v>
      </c>
      <c r="E41" s="6" t="e">
        <f>Report!#REF!+E39</f>
        <v>#REF!</v>
      </c>
      <c r="F41" s="6" t="e">
        <f>Report!#REF!+F39</f>
        <v>#REF!</v>
      </c>
      <c r="G41" s="6" t="e">
        <f>Report!#REF!+G39</f>
        <v>#REF!</v>
      </c>
      <c r="H41" s="6" t="e">
        <f>Report!#REF!+H39</f>
        <v>#REF!</v>
      </c>
      <c r="I41" s="6" t="e">
        <f>Report!#REF!+I39</f>
        <v>#REF!</v>
      </c>
      <c r="J41" s="6" t="e">
        <f>Report!#REF!+J39</f>
        <v>#REF!</v>
      </c>
      <c r="K41" s="6" t="e">
        <f>Report!#REF!+K39</f>
        <v>#REF!</v>
      </c>
    </row>
    <row r="42" spans="2:11" ht="15.75" thickTop="1" x14ac:dyDescent="0.25"/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Graph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T. Turnbull</dc:creator>
  <cp:lastModifiedBy>Mike T. Turnbull</cp:lastModifiedBy>
  <cp:lastPrinted>2018-09-24T12:54:30Z</cp:lastPrinted>
  <dcterms:created xsi:type="dcterms:W3CDTF">2016-10-20T19:04:39Z</dcterms:created>
  <dcterms:modified xsi:type="dcterms:W3CDTF">2018-09-24T12:54:34Z</dcterms:modified>
</cp:coreProperties>
</file>